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ukul/Documents/Assetyogi/Youtube/Videos 2025/NPS vs UPS/"/>
    </mc:Choice>
  </mc:AlternateContent>
  <xr:revisionPtr revIDLastSave="0" documentId="13_ncr:1_{B6C94B9B-1B38-134A-9B60-AC64F41BA996}" xr6:coauthVersionLast="47" xr6:coauthVersionMax="47" xr10:uidLastSave="{00000000-0000-0000-0000-000000000000}"/>
  <workbookProtection workbookAlgorithmName="SHA-512" workbookHashValue="lLSe1e77hqDJBl2nMYrIEMWdI7uaV879TWG40yqbY1suWDFAbrtcoEMUH/rXEdiWPAD0F/WrNQzkKu5wBVDLFw==" workbookSaltValue="pXluOruZjPiXIHQHqz/3JQ==" workbookSpinCount="100000" lockStructure="1"/>
  <bookViews>
    <workbookView xWindow="0" yWindow="500" windowWidth="30720" windowHeight="17300" xr2:uid="{31B81B44-6CC4-B947-AB22-509470E1A5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1" i="1" l="1"/>
  <c r="C22" i="1"/>
  <c r="C7" i="1"/>
  <c r="C8" i="1" s="1"/>
  <c r="C51" i="1" l="1"/>
  <c r="B52" i="1"/>
  <c r="B53" i="1" s="1"/>
  <c r="B54" i="1" s="1"/>
  <c r="B55" i="1" s="1"/>
  <c r="B56" i="1" s="1"/>
  <c r="C12" i="1"/>
  <c r="F20" i="1" s="1"/>
  <c r="F31" i="1" s="1"/>
  <c r="F27" i="1" l="1"/>
  <c r="F28" i="1"/>
  <c r="C52" i="1"/>
  <c r="D51" i="1"/>
  <c r="C53" i="1"/>
  <c r="C54" i="1"/>
  <c r="B57" i="1"/>
  <c r="C56" i="1"/>
  <c r="C55" i="1"/>
  <c r="F29" i="1" l="1"/>
  <c r="D52" i="1"/>
  <c r="D53" i="1" s="1"/>
  <c r="D54" i="1" s="1"/>
  <c r="D55" i="1" s="1"/>
  <c r="D56" i="1" s="1"/>
  <c r="B58" i="1"/>
  <c r="C57" i="1"/>
  <c r="B59" i="1" l="1"/>
  <c r="C58" i="1"/>
  <c r="D57" i="1"/>
  <c r="D58" i="1" l="1"/>
  <c r="B60" i="1"/>
  <c r="C59" i="1"/>
  <c r="D59" i="1" l="1"/>
  <c r="B61" i="1"/>
  <c r="C60" i="1"/>
  <c r="D60" i="1" l="1"/>
  <c r="B62" i="1"/>
  <c r="C61" i="1"/>
  <c r="B63" i="1" l="1"/>
  <c r="C62" i="1"/>
  <c r="D61" i="1"/>
  <c r="D62" i="1" l="1"/>
  <c r="C63" i="1"/>
  <c r="B64" i="1"/>
  <c r="D63" i="1" l="1"/>
  <c r="B65" i="1"/>
  <c r="C64" i="1"/>
  <c r="D64" i="1" l="1"/>
  <c r="B66" i="1"/>
  <c r="C65" i="1"/>
  <c r="D65" i="1" l="1"/>
  <c r="B67" i="1"/>
  <c r="C66" i="1"/>
  <c r="D66" i="1" l="1"/>
  <c r="B68" i="1"/>
  <c r="C67" i="1"/>
  <c r="D67" i="1" s="1"/>
  <c r="B69" i="1" l="1"/>
  <c r="C68" i="1"/>
  <c r="D68" i="1" s="1"/>
  <c r="B70" i="1" l="1"/>
  <c r="C69" i="1"/>
  <c r="D69" i="1" s="1"/>
  <c r="B71" i="1" l="1"/>
  <c r="C70" i="1"/>
  <c r="D70" i="1" s="1"/>
  <c r="B72" i="1" l="1"/>
  <c r="C71" i="1"/>
  <c r="D71" i="1" s="1"/>
  <c r="B73" i="1" l="1"/>
  <c r="C72" i="1"/>
  <c r="D72" i="1" s="1"/>
  <c r="B74" i="1" l="1"/>
  <c r="C73" i="1"/>
  <c r="D73" i="1" s="1"/>
  <c r="B75" i="1" l="1"/>
  <c r="C74" i="1"/>
  <c r="D74" i="1" s="1"/>
  <c r="B76" i="1" l="1"/>
  <c r="C75" i="1"/>
  <c r="D75" i="1" s="1"/>
  <c r="B77" i="1" l="1"/>
  <c r="C76" i="1"/>
  <c r="D76" i="1" s="1"/>
  <c r="B78" i="1" l="1"/>
  <c r="C77" i="1"/>
  <c r="D77" i="1" s="1"/>
  <c r="B79" i="1" l="1"/>
  <c r="C78" i="1"/>
  <c r="D78" i="1" s="1"/>
  <c r="B80" i="1" l="1"/>
  <c r="C79" i="1"/>
  <c r="D79" i="1" s="1"/>
  <c r="B81" i="1" l="1"/>
  <c r="C80" i="1"/>
  <c r="D80" i="1" s="1"/>
  <c r="B82" i="1" l="1"/>
  <c r="C81" i="1"/>
  <c r="D81" i="1" s="1"/>
  <c r="B83" i="1" l="1"/>
  <c r="C82" i="1"/>
  <c r="D82" i="1" s="1"/>
  <c r="B84" i="1" l="1"/>
  <c r="C83" i="1"/>
  <c r="D83" i="1" s="1"/>
  <c r="B85" i="1" l="1"/>
  <c r="C84" i="1"/>
  <c r="D84" i="1" s="1"/>
  <c r="B86" i="1" l="1"/>
  <c r="C85" i="1"/>
  <c r="D85" i="1" s="1"/>
  <c r="B87" i="1" l="1"/>
  <c r="C86" i="1"/>
  <c r="D86" i="1" s="1"/>
  <c r="B88" i="1" l="1"/>
  <c r="C87" i="1"/>
  <c r="D87" i="1" s="1"/>
  <c r="B89" i="1" l="1"/>
  <c r="B90" i="1" s="1"/>
  <c r="C88" i="1"/>
  <c r="D88" i="1" s="1"/>
  <c r="B91" i="1" l="1"/>
  <c r="C90" i="1"/>
  <c r="C89" i="1"/>
  <c r="B92" i="1" l="1"/>
  <c r="C91" i="1"/>
  <c r="D89" i="1"/>
  <c r="B93" i="1" l="1"/>
  <c r="C92" i="1"/>
  <c r="D90" i="1"/>
  <c r="D91" i="1" s="1"/>
  <c r="D92" i="1" s="1"/>
  <c r="D93" i="1" l="1"/>
  <c r="B94" i="1"/>
  <c r="C93" i="1"/>
  <c r="B95" i="1" l="1"/>
  <c r="C94" i="1"/>
  <c r="D94" i="1" s="1"/>
  <c r="B96" i="1" l="1"/>
  <c r="C95" i="1"/>
  <c r="D95" i="1" s="1"/>
  <c r="C96" i="1" l="1"/>
  <c r="D96" i="1" s="1"/>
  <c r="B97" i="1"/>
  <c r="C97" i="1" l="1"/>
  <c r="D97" i="1" s="1"/>
  <c r="B98" i="1"/>
  <c r="C98" i="1" l="1"/>
  <c r="D98" i="1" s="1"/>
  <c r="B99" i="1"/>
  <c r="B100" i="1" l="1"/>
  <c r="C99" i="1"/>
  <c r="D99" i="1" s="1"/>
  <c r="B101" i="1" l="1"/>
  <c r="C100" i="1"/>
  <c r="D100" i="1" s="1"/>
  <c r="C16" i="1"/>
  <c r="C15" i="1"/>
  <c r="C101" i="1" l="1"/>
  <c r="C102" i="1" s="1"/>
  <c r="F16" i="1"/>
  <c r="F15" i="1"/>
  <c r="D101" i="1" l="1"/>
  <c r="C18" i="1" s="1" a="1"/>
  <c r="C18" i="1" s="1"/>
  <c r="C20" i="1" l="1"/>
  <c r="C31" i="1" s="1"/>
  <c r="C23" i="1"/>
  <c r="C27" i="1" s="1"/>
  <c r="C28" i="1" l="1"/>
  <c r="C2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<sst xmlns="http://schemas.openxmlformats.org/spreadsheetml/2006/main" count="65" uniqueCount="57">
  <si>
    <t>Years of Service Till Retirement</t>
  </si>
  <si>
    <t>Year of Joining</t>
  </si>
  <si>
    <t>Year of Birth</t>
  </si>
  <si>
    <t>Retirement Age</t>
  </si>
  <si>
    <t>Retirement Year</t>
  </si>
  <si>
    <t>NPS Corpus @ Retirement</t>
  </si>
  <si>
    <t>Lumpsum Withdrawal Amount</t>
  </si>
  <si>
    <t>Annuity % (Min. 40%)</t>
  </si>
  <si>
    <t>Lumpsum Withdrawal % (Max. 60%)</t>
  </si>
  <si>
    <t xml:space="preserve">Annuity Corpus </t>
  </si>
  <si>
    <t>Expected Annuity Return %</t>
  </si>
  <si>
    <t>Monthly Annuity Income</t>
  </si>
  <si>
    <t>Expected Returns on Lumpsum (say FD Rate)</t>
  </si>
  <si>
    <t>Monthly Interest Income on Lumpsum</t>
  </si>
  <si>
    <t>Total Monthly Pension</t>
  </si>
  <si>
    <t>Year</t>
  </si>
  <si>
    <t>NPS Corpus
(End of Year)</t>
  </si>
  <si>
    <t>Annual Salary Increase %
(Promotion + Pay Commision + DA)</t>
  </si>
  <si>
    <t>Total Monthly NPS
Contribution</t>
  </si>
  <si>
    <t>Basic + DA at Year of Joining</t>
  </si>
  <si>
    <t>Basic + DA @ Retirement</t>
  </si>
  <si>
    <t>Basic + DA</t>
  </si>
  <si>
    <t>Monthly Pension</t>
  </si>
  <si>
    <t>Total NPS Contribution by Employee 
@ 10% (Basic+DA)</t>
  </si>
  <si>
    <t>Total NPS Contribution by Employer 
@ 14% (Basic+DA)</t>
  </si>
  <si>
    <t>Total NPS Contribution by Employer 
@ 18.5% (Basic+DA)</t>
  </si>
  <si>
    <t>Lumpsum in Bank Account</t>
  </si>
  <si>
    <t>Lumpsum Amount</t>
  </si>
  <si>
    <t>NPS Payouts</t>
  </si>
  <si>
    <t>UPS Payouts</t>
  </si>
  <si>
    <t>NPS Calculations</t>
  </si>
  <si>
    <t>Assumptions</t>
  </si>
  <si>
    <t>UPS Calculations</t>
  </si>
  <si>
    <t>NPS vs UPS Calculator</t>
  </si>
  <si>
    <t>By Assetyogi</t>
  </si>
  <si>
    <t>2. Portable to private sector</t>
  </si>
  <si>
    <t>Pros</t>
  </si>
  <si>
    <t>1. Not available for &lt; 10 yrs of service</t>
  </si>
  <si>
    <t>Cons</t>
  </si>
  <si>
    <t>1. Much higher lumpsum amount possible</t>
  </si>
  <si>
    <t>1. Guaranteed pension amount</t>
  </si>
  <si>
    <t>2. Pension increases to cater to inflation (DA benefit)</t>
  </si>
  <si>
    <t>3. After death, spouse gets 60% of Monthly Pension + DA</t>
  </si>
  <si>
    <t>1. Pension not inflation adjusted</t>
  </si>
  <si>
    <t>3. Tax benefits available under New Regime</t>
  </si>
  <si>
    <t>2. No family pension</t>
  </si>
  <si>
    <t>1. Tax benefits not available under New Regime</t>
  </si>
  <si>
    <t>2. Not portable to private sector</t>
  </si>
  <si>
    <t>2. Minimum pension guarantee of Rs. 10,000 per month</t>
  </si>
  <si>
    <t>3. Pension reduces in case of partial withdrawal</t>
  </si>
  <si>
    <t>4. Max. Equity Exposure - 50%</t>
  </si>
  <si>
    <t>5. Monthly Pension = 50% of last 12 months Avg. (Basic + DA)</t>
  </si>
  <si>
    <t>6. Lumpsum Payout = 0.1 x (Basic+DA) x No. of 6 month units</t>
  </si>
  <si>
    <t>1. Max. Equity Exposure - 75%</t>
  </si>
  <si>
    <t>2. Lumpsum Payout - upto 60% of Corpus</t>
  </si>
  <si>
    <t>Expected Returns on NPS Investments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</si>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</sst>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₹&quot;#,##0_);[Red]\(&quot;₹&quot;#,##0\)"/>
    <numFmt numFmtId="43" formatCode="_(* #,##0.00_);_(* \(#,##0.00\);_(* &quot;-&quot;??_);_(@_)"/>
    <numFmt numFmtId="164" formatCode="&quot;₹&quot;#,##0.00"/>
    <numFmt numFmtId="165" formatCode="&quot;₹&quot;#,##0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b/>
      <sz val="16"/>
      <color theme="1"/>
      <name val="Calibri"/>
      <family val="2"/>
    </font>
    <font>
      <b/>
      <sz val="16"/>
      <color theme="0"/>
      <name val="Calibri"/>
      <family val="2"/>
    </font>
    <font>
      <b/>
      <sz val="20"/>
      <color theme="0"/>
      <name val="Calibri"/>
      <family val="2"/>
    </font>
    <font>
      <b/>
      <sz val="18"/>
      <color theme="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">
    <xf numFmtId="0" fontId="0" fillId="0" borderId="0" xfId="0"/>
    <xf numFmtId="1" fontId="2" fillId="2" borderId="1" xfId="0" applyNumberFormat="1" applyFon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10" fontId="2" fillId="2" borderId="1" xfId="2" applyNumberFormat="1" applyFont="1" applyFill="1" applyBorder="1" applyProtection="1">
      <protection locked="0"/>
    </xf>
    <xf numFmtId="9" fontId="2" fillId="2" borderId="1" xfId="0" applyNumberFormat="1" applyFont="1" applyFill="1" applyBorder="1" applyProtection="1">
      <protection locked="0"/>
    </xf>
    <xf numFmtId="0" fontId="3" fillId="8" borderId="0" xfId="0" applyFont="1" applyFill="1" applyAlignment="1" applyProtection="1">
      <alignment vertical="center"/>
      <protection hidden="1"/>
    </xf>
    <xf numFmtId="0" fontId="2" fillId="7" borderId="0" xfId="0" applyFont="1" applyFill="1" applyProtection="1">
      <protection hidden="1"/>
    </xf>
    <xf numFmtId="164" fontId="2" fillId="7" borderId="0" xfId="1" applyNumberFormat="1" applyFont="1" applyFill="1" applyProtection="1">
      <protection hidden="1"/>
    </xf>
    <xf numFmtId="0" fontId="4" fillId="9" borderId="1" xfId="0" applyFont="1" applyFill="1" applyBorder="1" applyProtection="1">
      <protection hidden="1"/>
    </xf>
    <xf numFmtId="164" fontId="4" fillId="9" borderId="1" xfId="0" applyNumberFormat="1" applyFont="1" applyFill="1" applyBorder="1" applyProtection="1">
      <protection hidden="1"/>
    </xf>
    <xf numFmtId="0" fontId="3" fillId="7" borderId="0" xfId="0" applyFont="1" applyFill="1" applyProtection="1">
      <protection hidden="1"/>
    </xf>
    <xf numFmtId="0" fontId="2" fillId="7" borderId="1" xfId="0" applyFont="1" applyFill="1" applyBorder="1" applyProtection="1">
      <protection hidden="1"/>
    </xf>
    <xf numFmtId="1" fontId="2" fillId="7" borderId="0" xfId="0" applyNumberFormat="1" applyFont="1" applyFill="1" applyProtection="1">
      <protection hidden="1"/>
    </xf>
    <xf numFmtId="9" fontId="2" fillId="7" borderId="0" xfId="0" applyNumberFormat="1" applyFont="1" applyFill="1" applyProtection="1">
      <protection hidden="1"/>
    </xf>
    <xf numFmtId="1" fontId="2" fillId="7" borderId="1" xfId="0" applyNumberFormat="1" applyFont="1" applyFill="1" applyBorder="1" applyProtection="1">
      <protection hidden="1"/>
    </xf>
    <xf numFmtId="0" fontId="2" fillId="7" borderId="1" xfId="0" applyFont="1" applyFill="1" applyBorder="1" applyAlignment="1" applyProtection="1">
      <alignment wrapText="1"/>
      <protection hidden="1"/>
    </xf>
    <xf numFmtId="165" fontId="2" fillId="7" borderId="1" xfId="0" applyNumberFormat="1" applyFont="1" applyFill="1" applyBorder="1" applyProtection="1">
      <protection hidden="1"/>
    </xf>
    <xf numFmtId="6" fontId="2" fillId="7" borderId="1" xfId="0" applyNumberFormat="1" applyFont="1" applyFill="1" applyBorder="1" applyProtection="1">
      <protection hidden="1"/>
    </xf>
    <xf numFmtId="9" fontId="2" fillId="7" borderId="1" xfId="0" applyNumberFormat="1" applyFont="1" applyFill="1" applyBorder="1" applyProtection="1">
      <protection hidden="1"/>
    </xf>
    <xf numFmtId="9" fontId="2" fillId="7" borderId="1" xfId="2" applyFont="1" applyFill="1" applyBorder="1" applyProtection="1">
      <protection hidden="1"/>
    </xf>
    <xf numFmtId="0" fontId="5" fillId="7" borderId="0" xfId="0" applyFont="1" applyFill="1" applyProtection="1">
      <protection hidden="1"/>
    </xf>
    <xf numFmtId="0" fontId="3" fillId="4" borderId="1" xfId="0" applyFont="1" applyFill="1" applyBorder="1" applyProtection="1">
      <protection hidden="1"/>
    </xf>
    <xf numFmtId="165" fontId="3" fillId="4" borderId="1" xfId="0" applyNumberFormat="1" applyFont="1" applyFill="1" applyBorder="1" applyProtection="1">
      <protection hidden="1"/>
    </xf>
    <xf numFmtId="0" fontId="3" fillId="6" borderId="1" xfId="0" applyFont="1" applyFill="1" applyBorder="1" applyProtection="1">
      <protection hidden="1"/>
    </xf>
    <xf numFmtId="165" fontId="3" fillId="6" borderId="1" xfId="0" applyNumberFormat="1" applyFont="1" applyFill="1" applyBorder="1" applyProtection="1">
      <protection hidden="1"/>
    </xf>
    <xf numFmtId="164" fontId="2" fillId="7" borderId="0" xfId="0" applyNumberFormat="1" applyFont="1" applyFill="1" applyProtection="1">
      <protection hidden="1"/>
    </xf>
    <xf numFmtId="165" fontId="2" fillId="7" borderId="0" xfId="0" applyNumberFormat="1" applyFont="1" applyFill="1" applyProtection="1">
      <protection hidden="1"/>
    </xf>
    <xf numFmtId="164" fontId="2" fillId="7" borderId="0" xfId="0" applyNumberFormat="1" applyFont="1" applyFill="1" applyAlignment="1" applyProtection="1">
      <alignment horizontal="right"/>
      <protection hidden="1"/>
    </xf>
    <xf numFmtId="164" fontId="3" fillId="7" borderId="0" xfId="0" applyNumberFormat="1" applyFont="1" applyFill="1" applyProtection="1">
      <protection hidden="1"/>
    </xf>
    <xf numFmtId="0" fontId="2" fillId="7" borderId="0" xfId="0" applyFont="1" applyFill="1" applyAlignment="1" applyProtection="1">
      <alignment horizontal="center" vertical="center"/>
      <protection hidden="1"/>
    </xf>
    <xf numFmtId="0" fontId="2" fillId="7" borderId="0" xfId="0" applyFont="1" applyFill="1" applyAlignment="1" applyProtection="1">
      <alignment horizontal="center" vertical="center" wrapText="1"/>
      <protection hidden="1"/>
    </xf>
    <xf numFmtId="165" fontId="2" fillId="7" borderId="0" xfId="1" applyNumberFormat="1" applyFont="1" applyFill="1" applyProtection="1">
      <protection hidden="1"/>
    </xf>
    <xf numFmtId="0" fontId="7" fillId="8" borderId="0" xfId="0" applyFont="1" applyFill="1" applyAlignment="1" applyProtection="1">
      <alignment horizontal="left" vertical="center"/>
      <protection hidden="1"/>
    </xf>
    <xf numFmtId="0" fontId="2" fillId="7" borderId="0" xfId="0" applyFont="1" applyFill="1" applyAlignment="1" applyProtection="1">
      <alignment horizontal="left" vertical="center" wrapText="1"/>
      <protection hidden="1"/>
    </xf>
    <xf numFmtId="0" fontId="8" fillId="8" borderId="0" xfId="0" applyFont="1" applyFill="1" applyAlignment="1" applyProtection="1">
      <alignment horizontal="right" vertical="center"/>
      <protection hidden="1"/>
    </xf>
    <xf numFmtId="0" fontId="6" fillId="3" borderId="2" xfId="0" applyFont="1" applyFill="1" applyBorder="1" applyAlignment="1" applyProtection="1">
      <alignment horizontal="left"/>
      <protection hidden="1"/>
    </xf>
    <xf numFmtId="0" fontId="6" fillId="3" borderId="3" xfId="0" applyFont="1" applyFill="1" applyBorder="1" applyAlignment="1" applyProtection="1">
      <alignment horizontal="left"/>
      <protection hidden="1"/>
    </xf>
    <xf numFmtId="0" fontId="2" fillId="7" borderId="2" xfId="0" applyFont="1" applyFill="1" applyBorder="1" applyAlignment="1" applyProtection="1">
      <alignment horizontal="center"/>
      <protection hidden="1"/>
    </xf>
    <xf numFmtId="0" fontId="2" fillId="7" borderId="3" xfId="0" applyFont="1" applyFill="1" applyBorder="1" applyAlignment="1" applyProtection="1">
      <alignment horizontal="center"/>
      <protection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6" fillId="5" borderId="2" xfId="0" applyFont="1" applyFill="1" applyBorder="1" applyAlignment="1" applyProtection="1">
      <alignment horizontal="left"/>
      <protection hidden="1"/>
    </xf>
    <xf numFmtId="0" fontId="6" fillId="5" borderId="3" xfId="0" applyFont="1" applyFill="1" applyBorder="1" applyAlignment="1" applyProtection="1">
      <alignment horizontal="left"/>
      <protection hidden="1"/>
    </xf>
    <xf numFmtId="0" fontId="4" fillId="3" borderId="2" xfId="0" applyFont="1" applyFill="1" applyBorder="1" applyAlignment="1" applyProtection="1">
      <alignment horizontal="left"/>
      <protection hidden="1"/>
    </xf>
    <xf numFmtId="0" fontId="4" fillId="3" borderId="3" xfId="0" applyFont="1" applyFill="1" applyBorder="1" applyAlignment="1" applyProtection="1">
      <alignment horizontal="left"/>
      <protection hidden="1"/>
    </xf>
    <xf numFmtId="0" fontId="4" fillId="5" borderId="2" xfId="0" applyFont="1" applyFill="1" applyBorder="1" applyAlignment="1" applyProtection="1">
      <alignment horizontal="left"/>
      <protection hidden="1"/>
    </xf>
    <xf numFmtId="0" fontId="4" fillId="5" borderId="3" xfId="0" applyFont="1" applyFill="1" applyBorder="1" applyAlignment="1" applyProtection="1">
      <alignment horizontal="left"/>
      <protection hidden="1"/>
    </xf>
  </cellXfs>
  <cellStyles count="3">
    <cellStyle name="Comma" xfId="1" builtinId="3"/>
    <cellStyle name="Normal" xfId="0" builtinId="0"/>
    <cellStyle name="Per 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E6A1D-F0FB-874B-ACE7-9F4039EE5EE2}">
  <dimension ref="A1:F102"/>
  <sheetViews>
    <sheetView tabSelected="1" zoomScale="140" zoomScaleNormal="140" workbookViewId="0">
      <selection activeCell="F21" sqref="F21"/>
    </sheetView>
  </sheetViews>
  <sheetFormatPr baseColWidth="10" defaultColWidth="16.6640625" defaultRowHeight="19" x14ac:dyDescent="0.25"/>
  <cols>
    <col min="1" max="1" width="7.1640625" style="6" customWidth="1"/>
    <col min="2" max="2" width="46.1640625" style="6" bestFit="1" customWidth="1"/>
    <col min="3" max="3" width="17.1640625" style="25" customWidth="1"/>
    <col min="4" max="4" width="13" style="6" customWidth="1"/>
    <col min="5" max="5" width="46" style="6" customWidth="1"/>
    <col min="6" max="16384" width="16.6640625" style="6"/>
  </cols>
  <sheetData>
    <row r="1" spans="2:6" s="5" customFormat="1" ht="30" customHeight="1" x14ac:dyDescent="0.2">
      <c r="B1" s="32" t="s">
        <v>33</v>
      </c>
      <c r="C1" s="32"/>
      <c r="D1" s="32"/>
      <c r="E1" s="34" t="s">
        <v>34</v>
      </c>
      <c r="F1" s="34"/>
    </row>
    <row r="2" spans="2:6" x14ac:dyDescent="0.25">
      <c r="C2" s="7"/>
    </row>
    <row r="3" spans="2:6" s="10" customFormat="1" x14ac:dyDescent="0.25">
      <c r="B3" s="8" t="s">
        <v>31</v>
      </c>
      <c r="C3" s="9"/>
    </row>
    <row r="4" spans="2:6" x14ac:dyDescent="0.25">
      <c r="B4" s="11" t="s">
        <v>2</v>
      </c>
      <c r="C4" s="1">
        <v>1990</v>
      </c>
      <c r="F4" s="12"/>
    </row>
    <row r="5" spans="2:6" x14ac:dyDescent="0.25">
      <c r="B5" s="11" t="s">
        <v>1</v>
      </c>
      <c r="C5" s="1">
        <v>2012</v>
      </c>
    </row>
    <row r="6" spans="2:6" x14ac:dyDescent="0.25">
      <c r="B6" s="11" t="s">
        <v>3</v>
      </c>
      <c r="C6" s="1">
        <v>60</v>
      </c>
      <c r="F6" s="13"/>
    </row>
    <row r="7" spans="2:6" x14ac:dyDescent="0.25">
      <c r="B7" s="11" t="s">
        <v>4</v>
      </c>
      <c r="C7" s="14">
        <f>C4+C6</f>
        <v>2050</v>
      </c>
    </row>
    <row r="8" spans="2:6" x14ac:dyDescent="0.25">
      <c r="B8" s="11" t="s">
        <v>0</v>
      </c>
      <c r="C8" s="14">
        <f>C7-C5</f>
        <v>38</v>
      </c>
    </row>
    <row r="9" spans="2:6" x14ac:dyDescent="0.25">
      <c r="B9" s="11"/>
      <c r="C9" s="14"/>
    </row>
    <row r="10" spans="2:6" x14ac:dyDescent="0.25">
      <c r="B10" s="11" t="s">
        <v>19</v>
      </c>
      <c r="C10" s="2">
        <v>20000</v>
      </c>
    </row>
    <row r="11" spans="2:6" ht="40" x14ac:dyDescent="0.25">
      <c r="B11" s="15" t="s">
        <v>17</v>
      </c>
      <c r="C11" s="3">
        <v>0.06</v>
      </c>
    </row>
    <row r="12" spans="2:6" x14ac:dyDescent="0.25">
      <c r="B12" s="11" t="s">
        <v>20</v>
      </c>
      <c r="C12" s="16">
        <f>FV(C11, C8, 0, -C10)</f>
        <v>183085.04694065376</v>
      </c>
    </row>
    <row r="14" spans="2:6" s="10" customFormat="1" x14ac:dyDescent="0.25">
      <c r="B14" s="42" t="s">
        <v>30</v>
      </c>
      <c r="C14" s="43"/>
      <c r="E14" s="44" t="s">
        <v>32</v>
      </c>
      <c r="F14" s="45"/>
    </row>
    <row r="15" spans="2:6" ht="40" x14ac:dyDescent="0.25">
      <c r="B15" s="15" t="s">
        <v>23</v>
      </c>
      <c r="C15" s="16">
        <f>0.1*(SUM($B$51:$B$101))*12</f>
        <v>3481402.9951418554</v>
      </c>
      <c r="E15" s="15" t="s">
        <v>23</v>
      </c>
      <c r="F15" s="16">
        <f>0.1*(SUM($B$51:$B$101))*12</f>
        <v>3481402.9951418554</v>
      </c>
    </row>
    <row r="16" spans="2:6" ht="40" x14ac:dyDescent="0.25">
      <c r="B16" s="15" t="s">
        <v>24</v>
      </c>
      <c r="C16" s="16">
        <f>0.14*(SUM($B$51:$B$101))*12</f>
        <v>4873964.193198598</v>
      </c>
      <c r="E16" s="15" t="s">
        <v>25</v>
      </c>
      <c r="F16" s="16">
        <f>0.185*(SUM($B$51:$B$101))*12</f>
        <v>6440595.5410124324</v>
      </c>
    </row>
    <row r="17" spans="2:6" x14ac:dyDescent="0.25">
      <c r="B17" s="11" t="s">
        <v>55</v>
      </c>
      <c r="C17" s="4">
        <v>0.1</v>
      </c>
      <c r="E17" s="11"/>
      <c r="F17" s="11"/>
    </row>
    <row r="18" spans="2:6" x14ac:dyDescent="0.25">
      <c r="B18" s="11" t="s">
        <v>5</v>
      </c>
      <c r="C18" s="17" cm="1">
        <f t="array" ref="C18">LOOKUP(2,1/(D51:D101&gt;0), D51:D101)</f>
        <v>47409290.748146236</v>
      </c>
      <c r="E18" s="11"/>
      <c r="F18" s="11"/>
    </row>
    <row r="19" spans="2:6" x14ac:dyDescent="0.25">
      <c r="B19" s="11" t="s">
        <v>8</v>
      </c>
      <c r="C19" s="4">
        <v>0.6</v>
      </c>
      <c r="E19" s="11"/>
      <c r="F19" s="18"/>
    </row>
    <row r="20" spans="2:6" x14ac:dyDescent="0.25">
      <c r="B20" s="11" t="s">
        <v>6</v>
      </c>
      <c r="C20" s="17">
        <f>C19*C18</f>
        <v>28445574.448887739</v>
      </c>
      <c r="E20" s="11" t="s">
        <v>27</v>
      </c>
      <c r="F20" s="17">
        <f>IF(C8&lt;10, 0, 0.1*C12*C8*2)</f>
        <v>1391446.3567489686</v>
      </c>
    </row>
    <row r="21" spans="2:6" x14ac:dyDescent="0.25">
      <c r="B21" s="11" t="s">
        <v>12</v>
      </c>
      <c r="C21" s="3">
        <v>0.06</v>
      </c>
      <c r="E21" s="11" t="s">
        <v>12</v>
      </c>
      <c r="F21" s="3">
        <v>0.06</v>
      </c>
    </row>
    <row r="22" spans="2:6" x14ac:dyDescent="0.25">
      <c r="B22" s="11" t="s">
        <v>7</v>
      </c>
      <c r="C22" s="19">
        <f>100%-C19</f>
        <v>0.4</v>
      </c>
      <c r="E22" s="11"/>
      <c r="F22" s="11"/>
    </row>
    <row r="23" spans="2:6" x14ac:dyDescent="0.25">
      <c r="B23" s="11" t="s">
        <v>9</v>
      </c>
      <c r="C23" s="16">
        <f>C22*C18</f>
        <v>18963716.299258497</v>
      </c>
      <c r="E23" s="11"/>
      <c r="F23" s="11"/>
    </row>
    <row r="24" spans="2:6" x14ac:dyDescent="0.25">
      <c r="B24" s="11" t="s">
        <v>10</v>
      </c>
      <c r="C24" s="3">
        <v>6.5000000000000002E-2</v>
      </c>
      <c r="E24" s="11"/>
      <c r="F24" s="11"/>
    </row>
    <row r="26" spans="2:6" s="20" customFormat="1" ht="21" x14ac:dyDescent="0.25">
      <c r="B26" s="35" t="s">
        <v>28</v>
      </c>
      <c r="C26" s="36"/>
      <c r="E26" s="40" t="s">
        <v>29</v>
      </c>
      <c r="F26" s="41"/>
    </row>
    <row r="27" spans="2:6" x14ac:dyDescent="0.25">
      <c r="B27" s="11" t="s">
        <v>11</v>
      </c>
      <c r="C27" s="16">
        <f>C23*C24/12</f>
        <v>102720.12995431687</v>
      </c>
      <c r="E27" s="11" t="s">
        <v>22</v>
      </c>
      <c r="F27" s="16">
        <f>IF(C8&lt;10, 0, IF(C8&lt;25,  MAX(10000, (0.5*C12*C8/25)), 0.5*C12))</f>
        <v>91542.52347032688</v>
      </c>
    </row>
    <row r="28" spans="2:6" x14ac:dyDescent="0.25">
      <c r="B28" s="11" t="s">
        <v>13</v>
      </c>
      <c r="C28" s="16">
        <f>C20*C21/12</f>
        <v>142227.87224443871</v>
      </c>
      <c r="E28" s="11" t="s">
        <v>13</v>
      </c>
      <c r="F28" s="16">
        <f>F20*F21/12</f>
        <v>6957.2317837448427</v>
      </c>
    </row>
    <row r="29" spans="2:6" s="10" customFormat="1" x14ac:dyDescent="0.25">
      <c r="B29" s="21" t="s">
        <v>14</v>
      </c>
      <c r="C29" s="22">
        <f>C27+C28</f>
        <v>244948.00219875557</v>
      </c>
      <c r="E29" s="23" t="s">
        <v>14</v>
      </c>
      <c r="F29" s="24">
        <f>F27+F28</f>
        <v>98499.75525407173</v>
      </c>
    </row>
    <row r="30" spans="2:6" x14ac:dyDescent="0.25">
      <c r="B30" s="37"/>
      <c r="C30" s="38"/>
      <c r="E30" s="39"/>
      <c r="F30" s="39"/>
    </row>
    <row r="31" spans="2:6" s="10" customFormat="1" x14ac:dyDescent="0.25">
      <c r="B31" s="21" t="s">
        <v>26</v>
      </c>
      <c r="C31" s="22">
        <f>C20</f>
        <v>28445574.448887739</v>
      </c>
      <c r="E31" s="23" t="s">
        <v>26</v>
      </c>
      <c r="F31" s="24">
        <f>F20</f>
        <v>1391446.3567489686</v>
      </c>
    </row>
    <row r="33" spans="2:6" x14ac:dyDescent="0.25">
      <c r="B33" s="10" t="s">
        <v>36</v>
      </c>
      <c r="E33" s="10" t="s">
        <v>36</v>
      </c>
    </row>
    <row r="34" spans="2:6" x14ac:dyDescent="0.25">
      <c r="B34" s="6" t="s">
        <v>39</v>
      </c>
      <c r="E34" s="6" t="s">
        <v>40</v>
      </c>
    </row>
    <row r="35" spans="2:6" x14ac:dyDescent="0.25">
      <c r="B35" s="6" t="s">
        <v>35</v>
      </c>
      <c r="E35" s="6" t="s">
        <v>41</v>
      </c>
    </row>
    <row r="36" spans="2:6" x14ac:dyDescent="0.25">
      <c r="B36" s="6" t="s">
        <v>44</v>
      </c>
      <c r="E36" s="33" t="s">
        <v>42</v>
      </c>
      <c r="F36" s="33"/>
    </row>
    <row r="37" spans="2:6" x14ac:dyDescent="0.25">
      <c r="B37" s="10" t="s">
        <v>38</v>
      </c>
      <c r="C37" s="26"/>
      <c r="E37" s="10" t="s">
        <v>38</v>
      </c>
    </row>
    <row r="38" spans="2:6" x14ac:dyDescent="0.25">
      <c r="B38" s="6" t="s">
        <v>43</v>
      </c>
      <c r="E38" s="6" t="s">
        <v>46</v>
      </c>
    </row>
    <row r="39" spans="2:6" x14ac:dyDescent="0.25">
      <c r="B39" s="6" t="s">
        <v>45</v>
      </c>
      <c r="C39" s="27"/>
      <c r="E39" s="6" t="s">
        <v>47</v>
      </c>
    </row>
    <row r="40" spans="2:6" x14ac:dyDescent="0.25">
      <c r="B40" s="10" t="s">
        <v>56</v>
      </c>
      <c r="C40" s="27"/>
      <c r="E40" s="10" t="s">
        <v>56</v>
      </c>
    </row>
    <row r="41" spans="2:6" x14ac:dyDescent="0.25">
      <c r="B41" s="6" t="s">
        <v>53</v>
      </c>
      <c r="E41" s="6" t="s">
        <v>37</v>
      </c>
    </row>
    <row r="42" spans="2:6" s="10" customFormat="1" x14ac:dyDescent="0.25">
      <c r="B42" s="6" t="s">
        <v>54</v>
      </c>
      <c r="C42" s="28"/>
      <c r="E42" s="6" t="s">
        <v>48</v>
      </c>
    </row>
    <row r="43" spans="2:6" x14ac:dyDescent="0.25">
      <c r="E43" s="6" t="s">
        <v>49</v>
      </c>
    </row>
    <row r="44" spans="2:6" x14ac:dyDescent="0.25">
      <c r="E44" s="6" t="s">
        <v>50</v>
      </c>
    </row>
    <row r="45" spans="2:6" x14ac:dyDescent="0.25">
      <c r="E45" s="6" t="s">
        <v>51</v>
      </c>
    </row>
    <row r="46" spans="2:6" x14ac:dyDescent="0.25">
      <c r="E46" s="6" t="s">
        <v>52</v>
      </c>
    </row>
    <row r="49" spans="1:6" x14ac:dyDescent="0.25">
      <c r="E49" s="29"/>
    </row>
    <row r="50" spans="1:6" s="29" customFormat="1" ht="60" hidden="1" x14ac:dyDescent="0.25">
      <c r="A50" s="29" t="s">
        <v>15</v>
      </c>
      <c r="B50" s="29" t="s">
        <v>21</v>
      </c>
      <c r="C50" s="30" t="s">
        <v>18</v>
      </c>
      <c r="D50" s="30" t="s">
        <v>16</v>
      </c>
      <c r="E50" s="6"/>
      <c r="F50" s="6"/>
    </row>
    <row r="51" spans="1:6" hidden="1" x14ac:dyDescent="0.25">
      <c r="A51" s="6">
        <v>0</v>
      </c>
      <c r="B51" s="26">
        <f>C10</f>
        <v>20000</v>
      </c>
      <c r="C51" s="26">
        <f>0.24*B51</f>
        <v>4800</v>
      </c>
      <c r="D51" s="26">
        <f>FV(C17/12, 12, -C51, 0)</f>
        <v>60314.726846186968</v>
      </c>
      <c r="F51" s="29"/>
    </row>
    <row r="52" spans="1:6" hidden="1" x14ac:dyDescent="0.25">
      <c r="A52" s="6">
        <v>1</v>
      </c>
      <c r="B52" s="31">
        <f t="shared" ref="B52:B83" si="0">IF(A52&lt;=$C$8, B51*(1+$C$11), 0)</f>
        <v>21200</v>
      </c>
      <c r="C52" s="26">
        <f>0.24*B52</f>
        <v>5088</v>
      </c>
      <c r="D52" s="26">
        <f t="shared" ref="D52:D83" si="1">IF(A52&lt;=$C$8, (D51*(1+$C$17))+FV($C$17/12, 12, -C52, 0), 0)</f>
        <v>130279.80998776385</v>
      </c>
    </row>
    <row r="53" spans="1:6" hidden="1" x14ac:dyDescent="0.25">
      <c r="A53" s="6">
        <v>2</v>
      </c>
      <c r="B53" s="31">
        <f t="shared" si="0"/>
        <v>22472</v>
      </c>
      <c r="C53" s="26">
        <f t="shared" ref="C53:C101" si="2">0.24*B53</f>
        <v>5393.28</v>
      </c>
      <c r="D53" s="26">
        <f t="shared" si="1"/>
        <v>211077.41807091591</v>
      </c>
    </row>
    <row r="54" spans="1:6" hidden="1" x14ac:dyDescent="0.25">
      <c r="A54" s="6">
        <v>3</v>
      </c>
      <c r="B54" s="31">
        <f t="shared" si="0"/>
        <v>23820.32</v>
      </c>
      <c r="C54" s="26">
        <f t="shared" si="2"/>
        <v>5716.8768</v>
      </c>
      <c r="D54" s="26">
        <f t="shared" si="1"/>
        <v>304020.96458744572</v>
      </c>
    </row>
    <row r="55" spans="1:6" hidden="1" x14ac:dyDescent="0.25">
      <c r="A55" s="6">
        <v>4</v>
      </c>
      <c r="B55" s="31">
        <f t="shared" si="0"/>
        <v>25249.539199999999</v>
      </c>
      <c r="C55" s="26">
        <f t="shared" si="2"/>
        <v>6059.889408</v>
      </c>
      <c r="D55" s="26">
        <f t="shared" si="1"/>
        <v>410569.01403819484</v>
      </c>
    </row>
    <row r="56" spans="1:6" hidden="1" x14ac:dyDescent="0.25">
      <c r="A56" s="6">
        <v>5</v>
      </c>
      <c r="B56" s="31">
        <f t="shared" si="0"/>
        <v>26764.511552</v>
      </c>
      <c r="C56" s="26">
        <f t="shared" si="2"/>
        <v>6423.4827724799998</v>
      </c>
      <c r="D56" s="26">
        <f t="shared" si="1"/>
        <v>532340.62561353913</v>
      </c>
    </row>
    <row r="57" spans="1:6" hidden="1" x14ac:dyDescent="0.25">
      <c r="A57" s="6">
        <v>6</v>
      </c>
      <c r="B57" s="31">
        <f t="shared" si="0"/>
        <v>28370.382245120003</v>
      </c>
      <c r="C57" s="26">
        <f t="shared" si="2"/>
        <v>6808.8917388288</v>
      </c>
      <c r="D57" s="26">
        <f t="shared" si="1"/>
        <v>671132.28095670941</v>
      </c>
    </row>
    <row r="58" spans="1:6" hidden="1" x14ac:dyDescent="0.25">
      <c r="A58" s="6">
        <v>7</v>
      </c>
      <c r="B58" s="31">
        <f t="shared" si="0"/>
        <v>30072.605179827206</v>
      </c>
      <c r="C58" s="26">
        <f t="shared" si="2"/>
        <v>7217.4252431585292</v>
      </c>
      <c r="D58" s="26">
        <f t="shared" si="1"/>
        <v>828936.55740110576</v>
      </c>
    </row>
    <row r="59" spans="1:6" hidden="1" x14ac:dyDescent="0.25">
      <c r="A59" s="6">
        <v>8</v>
      </c>
      <c r="B59" s="31">
        <f t="shared" si="0"/>
        <v>31876.961490616839</v>
      </c>
      <c r="C59" s="26">
        <f t="shared" si="2"/>
        <v>7650.4707577480413</v>
      </c>
      <c r="D59" s="26">
        <f t="shared" si="1"/>
        <v>1007962.7243908652</v>
      </c>
    </row>
    <row r="60" spans="1:6" hidden="1" x14ac:dyDescent="0.25">
      <c r="A60" s="6">
        <v>9</v>
      </c>
      <c r="B60" s="31">
        <f t="shared" si="0"/>
        <v>33789.57918005385</v>
      </c>
      <c r="C60" s="26">
        <f t="shared" si="2"/>
        <v>8109.4990032129235</v>
      </c>
      <c r="D60" s="26">
        <f t="shared" si="1"/>
        <v>1210659.4587545795</v>
      </c>
    </row>
    <row r="61" spans="1:6" hidden="1" x14ac:dyDescent="0.25">
      <c r="A61" s="6">
        <v>10</v>
      </c>
      <c r="B61" s="31">
        <f t="shared" si="0"/>
        <v>35816.953930857082</v>
      </c>
      <c r="C61" s="26">
        <f t="shared" si="2"/>
        <v>8596.0689434056985</v>
      </c>
      <c r="D61" s="26">
        <f t="shared" si="1"/>
        <v>1439739.8942701428</v>
      </c>
    </row>
    <row r="62" spans="1:6" hidden="1" x14ac:dyDescent="0.25">
      <c r="A62" s="6">
        <v>11</v>
      </c>
      <c r="B62" s="31">
        <f t="shared" si="0"/>
        <v>37965.971166708507</v>
      </c>
      <c r="C62" s="26">
        <f t="shared" si="2"/>
        <v>9111.8330800100412</v>
      </c>
      <c r="D62" s="26">
        <f t="shared" si="1"/>
        <v>1698209.2427156689</v>
      </c>
    </row>
    <row r="63" spans="1:6" hidden="1" x14ac:dyDescent="0.25">
      <c r="A63" s="6">
        <v>12</v>
      </c>
      <c r="B63" s="31">
        <f t="shared" si="0"/>
        <v>40243.92943671102</v>
      </c>
      <c r="C63" s="26">
        <f t="shared" si="2"/>
        <v>9658.5430648106449</v>
      </c>
      <c r="D63" s="26">
        <f t="shared" si="1"/>
        <v>1989395.2475468584</v>
      </c>
    </row>
    <row r="64" spans="1:6" hidden="1" x14ac:dyDescent="0.25">
      <c r="A64" s="6">
        <v>13</v>
      </c>
      <c r="B64" s="31">
        <f t="shared" si="0"/>
        <v>42658.565202913684</v>
      </c>
      <c r="C64" s="26">
        <f t="shared" si="2"/>
        <v>10238.055648699285</v>
      </c>
      <c r="D64" s="26">
        <f t="shared" si="1"/>
        <v>2316981.757694744</v>
      </c>
    </row>
    <row r="65" spans="1:4" hidden="1" x14ac:dyDescent="0.25">
      <c r="A65" s="6">
        <v>14</v>
      </c>
      <c r="B65" s="31">
        <f t="shared" si="0"/>
        <v>45218.079115088505</v>
      </c>
      <c r="C65" s="26">
        <f t="shared" si="2"/>
        <v>10852.33898762124</v>
      </c>
      <c r="D65" s="26">
        <f t="shared" si="1"/>
        <v>2685045.7379810107</v>
      </c>
    </row>
    <row r="66" spans="1:4" hidden="1" x14ac:dyDescent="0.25">
      <c r="A66" s="6">
        <v>15</v>
      </c>
      <c r="B66" s="31">
        <f t="shared" si="0"/>
        <v>47931.163861993817</v>
      </c>
      <c r="C66" s="26">
        <f t="shared" si="2"/>
        <v>11503.479326878516</v>
      </c>
      <c r="D66" s="26">
        <f t="shared" si="1"/>
        <v>3098098.0645669112</v>
      </c>
    </row>
    <row r="67" spans="1:4" hidden="1" x14ac:dyDescent="0.25">
      <c r="A67" s="6">
        <v>16</v>
      </c>
      <c r="B67" s="31">
        <f t="shared" si="0"/>
        <v>50807.033693713449</v>
      </c>
      <c r="C67" s="26">
        <f t="shared" si="2"/>
        <v>12193.688086491227</v>
      </c>
      <c r="D67" s="26">
        <f t="shared" si="1"/>
        <v>3561128.48897867</v>
      </c>
    </row>
    <row r="68" spans="1:4" hidden="1" x14ac:dyDescent="0.25">
      <c r="A68" s="6">
        <v>17</v>
      </c>
      <c r="B68" s="31">
        <f t="shared" si="0"/>
        <v>53855.455715336262</v>
      </c>
      <c r="C68" s="26">
        <f t="shared" si="2"/>
        <v>12925.309371680702</v>
      </c>
      <c r="D68" s="26">
        <f t="shared" si="1"/>
        <v>4079655.1929089087</v>
      </c>
    </row>
    <row r="69" spans="1:4" hidden="1" x14ac:dyDescent="0.25">
      <c r="A69" s="6">
        <v>18</v>
      </c>
      <c r="B69" s="31">
        <f t="shared" si="0"/>
        <v>57086.783058256442</v>
      </c>
      <c r="C69" s="26">
        <f t="shared" si="2"/>
        <v>13700.827933981545</v>
      </c>
      <c r="D69" s="26">
        <f t="shared" si="1"/>
        <v>4659779.3985341135</v>
      </c>
    </row>
    <row r="70" spans="1:4" hidden="1" x14ac:dyDescent="0.25">
      <c r="A70" s="6">
        <v>19</v>
      </c>
      <c r="B70" s="31">
        <f t="shared" si="0"/>
        <v>60511.990041751829</v>
      </c>
      <c r="C70" s="26">
        <f t="shared" si="2"/>
        <v>14522.877610020438</v>
      </c>
      <c r="D70" s="26">
        <f t="shared" si="1"/>
        <v>5308245.5459018983</v>
      </c>
    </row>
    <row r="71" spans="1:4" hidden="1" x14ac:dyDescent="0.25">
      <c r="A71" s="6">
        <v>20</v>
      </c>
      <c r="B71" s="31">
        <f t="shared" si="0"/>
        <v>64142.709444256943</v>
      </c>
      <c r="C71" s="26">
        <f t="shared" si="2"/>
        <v>15394.250266621666</v>
      </c>
      <c r="D71" s="26">
        <f t="shared" si="1"/>
        <v>6032507.6004573237</v>
      </c>
    </row>
    <row r="72" spans="1:4" hidden="1" x14ac:dyDescent="0.25">
      <c r="A72" s="6">
        <v>21</v>
      </c>
      <c r="B72" s="31">
        <f t="shared" si="0"/>
        <v>67991.272010912362</v>
      </c>
      <c r="C72" s="26">
        <f t="shared" si="2"/>
        <v>16317.905282618965</v>
      </c>
      <c r="D72" s="26">
        <f t="shared" si="1"/>
        <v>6840802.1104662055</v>
      </c>
    </row>
    <row r="73" spans="1:4" hidden="1" x14ac:dyDescent="0.25">
      <c r="A73" s="6">
        <v>22</v>
      </c>
      <c r="B73" s="31">
        <f t="shared" si="0"/>
        <v>72070.748331567112</v>
      </c>
      <c r="C73" s="26">
        <f t="shared" si="2"/>
        <v>17296.979599576105</v>
      </c>
      <c r="D73" s="26">
        <f t="shared" si="1"/>
        <v>7742228.6964737643</v>
      </c>
    </row>
    <row r="74" spans="1:4" hidden="1" x14ac:dyDescent="0.25">
      <c r="A74" s="6">
        <v>23</v>
      </c>
      <c r="B74" s="31">
        <f t="shared" si="0"/>
        <v>76394.993231461136</v>
      </c>
      <c r="C74" s="26">
        <f t="shared" si="2"/>
        <v>18334.798375550672</v>
      </c>
      <c r="D74" s="26">
        <f t="shared" si="1"/>
        <v>8746838.7235797346</v>
      </c>
    </row>
    <row r="75" spans="1:4" hidden="1" x14ac:dyDescent="0.25">
      <c r="A75" s="6">
        <v>24</v>
      </c>
      <c r="B75" s="31">
        <f t="shared" si="0"/>
        <v>80978.692825348815</v>
      </c>
      <c r="C75" s="26">
        <f t="shared" si="2"/>
        <v>19434.886278083715</v>
      </c>
      <c r="D75" s="26">
        <f t="shared" si="1"/>
        <v>9865732.9828438181</v>
      </c>
    </row>
    <row r="76" spans="1:4" hidden="1" x14ac:dyDescent="0.25">
      <c r="A76" s="6">
        <v>25</v>
      </c>
      <c r="B76" s="31">
        <f t="shared" si="0"/>
        <v>85837.414394869746</v>
      </c>
      <c r="C76" s="26">
        <f t="shared" si="2"/>
        <v>20600.979454768738</v>
      </c>
      <c r="D76" s="26">
        <f t="shared" si="1"/>
        <v>11111169.291248677</v>
      </c>
    </row>
    <row r="77" spans="1:4" hidden="1" x14ac:dyDescent="0.25">
      <c r="A77" s="6">
        <v>26</v>
      </c>
      <c r="B77" s="31">
        <f t="shared" si="0"/>
        <v>90987.659258561936</v>
      </c>
      <c r="C77" s="26">
        <f t="shared" si="2"/>
        <v>21837.038222054864</v>
      </c>
      <c r="D77" s="26">
        <f t="shared" si="1"/>
        <v>12496681.011101251</v>
      </c>
    </row>
    <row r="78" spans="1:4" hidden="1" x14ac:dyDescent="0.25">
      <c r="A78" s="6">
        <v>27</v>
      </c>
      <c r="B78" s="31">
        <f t="shared" si="0"/>
        <v>96446.91881407566</v>
      </c>
      <c r="C78" s="26">
        <f t="shared" si="2"/>
        <v>23147.260515378159</v>
      </c>
      <c r="D78" s="26">
        <f t="shared" si="1"/>
        <v>14037207.590382745</v>
      </c>
    </row>
    <row r="79" spans="1:4" hidden="1" x14ac:dyDescent="0.25">
      <c r="A79" s="6">
        <v>28</v>
      </c>
      <c r="B79" s="31">
        <f t="shared" si="0"/>
        <v>102233.73394292021</v>
      </c>
      <c r="C79" s="26">
        <f t="shared" si="2"/>
        <v>24536.09614630085</v>
      </c>
      <c r="D79" s="26">
        <f t="shared" si="1"/>
        <v>15749238.33628267</v>
      </c>
    </row>
    <row r="80" spans="1:4" hidden="1" x14ac:dyDescent="0.25">
      <c r="A80" s="6">
        <v>29</v>
      </c>
      <c r="B80" s="31">
        <f t="shared" si="0"/>
        <v>108367.75797949544</v>
      </c>
      <c r="C80" s="26">
        <f t="shared" si="2"/>
        <v>26008.261915078903</v>
      </c>
      <c r="D80" s="26">
        <f t="shared" si="1"/>
        <v>17650970.755984284</v>
      </c>
    </row>
    <row r="81" spans="1:4" hidden="1" x14ac:dyDescent="0.25">
      <c r="A81" s="6">
        <v>30</v>
      </c>
      <c r="B81" s="31">
        <f t="shared" si="0"/>
        <v>114869.82345826516</v>
      </c>
      <c r="C81" s="26">
        <f t="shared" si="2"/>
        <v>27568.75762998364</v>
      </c>
      <c r="D81" s="26">
        <f t="shared" si="1"/>
        <v>19762484.932820462</v>
      </c>
    </row>
    <row r="82" spans="1:4" hidden="1" x14ac:dyDescent="0.25">
      <c r="A82" s="6">
        <v>31</v>
      </c>
      <c r="B82" s="31">
        <f t="shared" si="0"/>
        <v>121762.01286576108</v>
      </c>
      <c r="C82" s="26">
        <f t="shared" si="2"/>
        <v>29222.883087782659</v>
      </c>
      <c r="D82" s="26">
        <f t="shared" si="1"/>
        <v>22105935.553414524</v>
      </c>
    </row>
    <row r="83" spans="1:4" hidden="1" x14ac:dyDescent="0.25">
      <c r="A83" s="6">
        <v>32</v>
      </c>
      <c r="B83" s="31">
        <f t="shared" si="0"/>
        <v>129067.73363770675</v>
      </c>
      <c r="C83" s="26">
        <f t="shared" si="2"/>
        <v>30976.256073049619</v>
      </c>
      <c r="D83" s="26">
        <f t="shared" si="1"/>
        <v>24705763.363706715</v>
      </c>
    </row>
    <row r="84" spans="1:4" hidden="1" x14ac:dyDescent="0.25">
      <c r="A84" s="6">
        <v>33</v>
      </c>
      <c r="B84" s="31">
        <f t="shared" ref="B84:B101" si="3">IF(A84&lt;=$C$8, B83*(1+$C$11), 0)</f>
        <v>136811.79765596916</v>
      </c>
      <c r="C84" s="26">
        <f t="shared" si="2"/>
        <v>32834.8314374326</v>
      </c>
      <c r="D84" s="26">
        <f t="shared" ref="D84:D101" si="4">IF(A84&lt;=$C$8, (D83*(1+$C$17))+FV($C$17/12, 12, -C84, 0), 0)</f>
        <v>27588928.010325167</v>
      </c>
    </row>
    <row r="85" spans="1:4" hidden="1" x14ac:dyDescent="0.25">
      <c r="A85" s="6">
        <v>34</v>
      </c>
      <c r="B85" s="31">
        <f t="shared" si="3"/>
        <v>145020.50551532733</v>
      </c>
      <c r="C85" s="26">
        <f t="shared" si="2"/>
        <v>34804.921323678558</v>
      </c>
      <c r="D85" s="26">
        <f t="shared" si="4"/>
        <v>30785164.420220334</v>
      </c>
    </row>
    <row r="86" spans="1:4" hidden="1" x14ac:dyDescent="0.25">
      <c r="A86" s="6">
        <v>35</v>
      </c>
      <c r="B86" s="31">
        <f t="shared" si="3"/>
        <v>153721.73584624697</v>
      </c>
      <c r="C86" s="26">
        <f t="shared" si="2"/>
        <v>36893.216603099274</v>
      </c>
      <c r="D86" s="26">
        <f t="shared" si="4"/>
        <v>34327265.087636776</v>
      </c>
    </row>
    <row r="87" spans="1:4" hidden="1" x14ac:dyDescent="0.25">
      <c r="A87" s="6">
        <v>36</v>
      </c>
      <c r="B87" s="31">
        <f t="shared" si="3"/>
        <v>162945.03999702178</v>
      </c>
      <c r="C87" s="26">
        <f t="shared" si="2"/>
        <v>39106.809599285225</v>
      </c>
      <c r="D87" s="26">
        <f t="shared" si="4"/>
        <v>38251390.875318527</v>
      </c>
    </row>
    <row r="88" spans="1:4" hidden="1" x14ac:dyDescent="0.25">
      <c r="A88" s="6">
        <v>37</v>
      </c>
      <c r="B88" s="31">
        <f t="shared" si="3"/>
        <v>172721.7423968431</v>
      </c>
      <c r="C88" s="26">
        <f t="shared" si="2"/>
        <v>41453.218175242342</v>
      </c>
      <c r="D88" s="26">
        <f t="shared" si="4"/>
        <v>42597413.198503539</v>
      </c>
    </row>
    <row r="89" spans="1:4" hidden="1" x14ac:dyDescent="0.25">
      <c r="A89" s="6">
        <v>38</v>
      </c>
      <c r="B89" s="31">
        <f t="shared" si="3"/>
        <v>183085.0469406537</v>
      </c>
      <c r="C89" s="26">
        <f t="shared" si="2"/>
        <v>43940.411265756884</v>
      </c>
      <c r="D89" s="26">
        <f t="shared" si="4"/>
        <v>47409290.748146236</v>
      </c>
    </row>
    <row r="90" spans="1:4" hidden="1" x14ac:dyDescent="0.25">
      <c r="A90" s="6">
        <v>39</v>
      </c>
      <c r="B90" s="31">
        <f t="shared" si="3"/>
        <v>0</v>
      </c>
      <c r="C90" s="26">
        <f t="shared" si="2"/>
        <v>0</v>
      </c>
      <c r="D90" s="26">
        <f t="shared" si="4"/>
        <v>0</v>
      </c>
    </row>
    <row r="91" spans="1:4" hidden="1" x14ac:dyDescent="0.25">
      <c r="A91" s="6">
        <v>40</v>
      </c>
      <c r="B91" s="31">
        <f t="shared" si="3"/>
        <v>0</v>
      </c>
      <c r="C91" s="26">
        <f t="shared" si="2"/>
        <v>0</v>
      </c>
      <c r="D91" s="26">
        <f t="shared" si="4"/>
        <v>0</v>
      </c>
    </row>
    <row r="92" spans="1:4" hidden="1" x14ac:dyDescent="0.25">
      <c r="A92" s="6">
        <v>41</v>
      </c>
      <c r="B92" s="31">
        <f t="shared" si="3"/>
        <v>0</v>
      </c>
      <c r="C92" s="26">
        <f t="shared" si="2"/>
        <v>0</v>
      </c>
      <c r="D92" s="26">
        <f t="shared" si="4"/>
        <v>0</v>
      </c>
    </row>
    <row r="93" spans="1:4" hidden="1" x14ac:dyDescent="0.25">
      <c r="A93" s="6">
        <v>42</v>
      </c>
      <c r="B93" s="31">
        <f t="shared" si="3"/>
        <v>0</v>
      </c>
      <c r="C93" s="26">
        <f t="shared" si="2"/>
        <v>0</v>
      </c>
      <c r="D93" s="26">
        <f t="shared" si="4"/>
        <v>0</v>
      </c>
    </row>
    <row r="94" spans="1:4" hidden="1" x14ac:dyDescent="0.25">
      <c r="A94" s="6">
        <v>43</v>
      </c>
      <c r="B94" s="31">
        <f t="shared" si="3"/>
        <v>0</v>
      </c>
      <c r="C94" s="26">
        <f t="shared" si="2"/>
        <v>0</v>
      </c>
      <c r="D94" s="26">
        <f t="shared" si="4"/>
        <v>0</v>
      </c>
    </row>
    <row r="95" spans="1:4" hidden="1" x14ac:dyDescent="0.25">
      <c r="A95" s="6">
        <v>44</v>
      </c>
      <c r="B95" s="31">
        <f t="shared" si="3"/>
        <v>0</v>
      </c>
      <c r="C95" s="26">
        <f t="shared" si="2"/>
        <v>0</v>
      </c>
      <c r="D95" s="26">
        <f t="shared" si="4"/>
        <v>0</v>
      </c>
    </row>
    <row r="96" spans="1:4" hidden="1" x14ac:dyDescent="0.25">
      <c r="A96" s="6">
        <v>45</v>
      </c>
      <c r="B96" s="31">
        <f t="shared" si="3"/>
        <v>0</v>
      </c>
      <c r="C96" s="26">
        <f t="shared" si="2"/>
        <v>0</v>
      </c>
      <c r="D96" s="26">
        <f t="shared" si="4"/>
        <v>0</v>
      </c>
    </row>
    <row r="97" spans="1:4" hidden="1" x14ac:dyDescent="0.25">
      <c r="A97" s="6">
        <v>46</v>
      </c>
      <c r="B97" s="31">
        <f t="shared" si="3"/>
        <v>0</v>
      </c>
      <c r="C97" s="26">
        <f t="shared" si="2"/>
        <v>0</v>
      </c>
      <c r="D97" s="26">
        <f t="shared" si="4"/>
        <v>0</v>
      </c>
    </row>
    <row r="98" spans="1:4" hidden="1" x14ac:dyDescent="0.25">
      <c r="A98" s="6">
        <v>47</v>
      </c>
      <c r="B98" s="31">
        <f t="shared" si="3"/>
        <v>0</v>
      </c>
      <c r="C98" s="26">
        <f t="shared" si="2"/>
        <v>0</v>
      </c>
      <c r="D98" s="26">
        <f t="shared" si="4"/>
        <v>0</v>
      </c>
    </row>
    <row r="99" spans="1:4" hidden="1" x14ac:dyDescent="0.25">
      <c r="A99" s="6">
        <v>48</v>
      </c>
      <c r="B99" s="31">
        <f t="shared" si="3"/>
        <v>0</v>
      </c>
      <c r="C99" s="26">
        <f t="shared" si="2"/>
        <v>0</v>
      </c>
      <c r="D99" s="26">
        <f t="shared" si="4"/>
        <v>0</v>
      </c>
    </row>
    <row r="100" spans="1:4" hidden="1" x14ac:dyDescent="0.25">
      <c r="A100" s="6">
        <v>49</v>
      </c>
      <c r="B100" s="31">
        <f t="shared" si="3"/>
        <v>0</v>
      </c>
      <c r="C100" s="26">
        <f t="shared" si="2"/>
        <v>0</v>
      </c>
      <c r="D100" s="26">
        <f t="shared" si="4"/>
        <v>0</v>
      </c>
    </row>
    <row r="101" spans="1:4" hidden="1" x14ac:dyDescent="0.25">
      <c r="A101" s="6">
        <v>50</v>
      </c>
      <c r="B101" s="31">
        <f t="shared" si="3"/>
        <v>0</v>
      </c>
      <c r="C101" s="26">
        <f t="shared" si="2"/>
        <v>0</v>
      </c>
      <c r="D101" s="26">
        <f t="shared" si="4"/>
        <v>0</v>
      </c>
    </row>
    <row r="102" spans="1:4" hidden="1" x14ac:dyDescent="0.25">
      <c r="C102" s="26">
        <f>SUM(C51:C101)*12</f>
        <v>8355367.1883404525</v>
      </c>
    </row>
  </sheetData>
  <sheetProtection algorithmName="SHA-512" hashValue="1QpLrgEjvPtUqV23pinFULV1DIxs/nIhobP0bwHXili7Ezk0+5fiV2XPPCAxMaWtD66sgwsmYq7Ua9HXmt/LrQ==" saltValue="+NM6+Gcp+NuLjS3TekeJQQ==" spinCount="100000" sheet="1" objects="1" scenarios="1" selectLockedCells="1"/>
  <mergeCells count="9">
    <mergeCell ref="B1:D1"/>
    <mergeCell ref="E36:F36"/>
    <mergeCell ref="E1:F1"/>
    <mergeCell ref="B26:C26"/>
    <mergeCell ref="B30:C30"/>
    <mergeCell ref="E30:F30"/>
    <mergeCell ref="E26:F26"/>
    <mergeCell ref="B14:C14"/>
    <mergeCell ref="E14:F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Mukul Malik</dc:creator>
  <cp:lastModifiedBy>Mukul Malik</cp:lastModifiedBy>
  <dcterms:created xsi:type="dcterms:W3CDTF">2025-06-11T12:45:55Z</dcterms:created>
  <dcterms:modified xsi:type="dcterms:W3CDTF">2025-06-13T12:03:54Z</dcterms:modified>
</cp:coreProperties>
</file>